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<sst xmlns="http://schemas.openxmlformats.org/spreadsheetml/2006/main" count="171" uniqueCount="123">
  <si>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</si>
  <si>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</si>
  <si>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</si>
  <si>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</si>
  <si>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</si>
  <si>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</si>
  <si>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</si>
  <si>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</si>
  <si>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</si>
  <si>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</si>
  <si>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</si>
  <si>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</si>
  <si>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</si>
  <si>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</si>
  <si>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</si>
  <si>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</si>
  <si>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</si>
  <si>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</si>
  <si>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</si>
  <si>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</si>
  <si>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</si>
  <si>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</si>
  <si>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</si>
  <si>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</si>
  <si>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</si>
  <si>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</si>
  <si>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</si>
  <si>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</si>
  <si>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</si>
  <si>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</si>
  <si>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</si>
  <si>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</si>
  <si>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</si>
  <si>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</si>
  <si>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</si>
  <si>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</si>
  <si>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</si>
  <si>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</si>
  <si>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</si>
  <si>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</si>
  <si>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</si>
  <si>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</si>
  <si>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</si>
  <si>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</si>
  <si>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</si>
  <si>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</si>
  <si>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</si>
  <si>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</si>
  <si>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</si>
  <si>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</si>
  <si>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</si>
  <si>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</si>
  <si>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</si>
  <si>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</si>
  <si>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</si>
  <si>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</si>
  <si>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</si>
  <si>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</si>
  <si>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</si>
  <si>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</si>
  <si>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</si>
  <si>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</si>
  <si>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</si>
  <si>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</si>
  <si>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</si>
  <si>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</si>
  <si>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</si>
  <si>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</si>
  <si>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</si>
  <si>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</si>
  <si>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</si>
  <si>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</si>
  <si>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</si>
  <si>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</si>
  <si>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</si>
  <si>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</si>
  <si>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</si>
  <si>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</si>
  <si>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</si>
  <si>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</si>
  <si>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</si>
  <si>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</si>
  <si>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</si>
  <si>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</si>
  <si>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</si>
  <si>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</si>
  <si>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</si>
  <si>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</si>
  <si>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</si>
  <si>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</si>
  <si>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</si>
  <si>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</si>
  <si>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</si>
  <si>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</si>
  <si>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</si>
  <si>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</si>
  <si>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</si>
  <si>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</si>
  <si>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</si>
  <si>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</si>
  <si>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</si>
  <si>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</si>
  <si>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</si>
  <si>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</si>
  <si>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</si>
  <si>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</si>
  <si>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</si>
  <si>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</si>
  <si>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</si>
  <si>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</si>
  <si>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</si>
  <si>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</si>
  <si>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</si>
  <si>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</si>
  <si>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</si>
  <si>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</si>
  <si>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</si>
  <si>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</si>
  <si>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</si>
  <si>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</si>
  <si>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</si>
  <si>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</si>
  <si>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Аналіз використання коштів міського бюджету за 2016 рік станом на 25.03.2016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</si>
</sst>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54594257"/>
        <c:axId val="7814470"/>
      </c:bar3DChart>
      <c:catAx>
        <c:axId val="54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14470"/>
        <c:crosses val="autoZero"/>
        <c:auto val="1"/>
        <c:lblOffset val="100"/>
        <c:tickLblSkip val="1"/>
        <c:noMultiLvlLbl val="0"/>
      </c:catAx>
      <c:valAx>
        <c:axId val="7814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11513727"/>
        <c:axId val="6247756"/>
      </c:bar3DChart>
      <c:catAx>
        <c:axId val="1151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7756"/>
        <c:crosses val="autoZero"/>
        <c:auto val="1"/>
        <c:lblOffset val="100"/>
        <c:tickLblSkip val="1"/>
        <c:noMultiLvlLbl val="0"/>
      </c:catAx>
      <c:valAx>
        <c:axId val="6247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3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62695613"/>
        <c:axId val="34533154"/>
      </c:bar3DChart>
      <c:catAx>
        <c:axId val="62695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33154"/>
        <c:crosses val="autoZero"/>
        <c:auto val="1"/>
        <c:lblOffset val="100"/>
        <c:tickLblSkip val="1"/>
        <c:noMultiLvlLbl val="0"/>
      </c:catAx>
      <c:valAx>
        <c:axId val="34533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18317835"/>
        <c:axId val="31321160"/>
      </c:bar3DChart>
      <c:catAx>
        <c:axId val="18317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21160"/>
        <c:crosses val="autoZero"/>
        <c:auto val="1"/>
        <c:lblOffset val="100"/>
        <c:tickLblSkip val="1"/>
        <c:noMultiLvlLbl val="0"/>
      </c:catAx>
      <c:valAx>
        <c:axId val="31321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178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49408745"/>
        <c:axId val="1417790"/>
      </c:bar3DChart>
      <c:catAx>
        <c:axId val="4940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7790"/>
        <c:crosses val="autoZero"/>
        <c:auto val="1"/>
        <c:lblOffset val="100"/>
        <c:tickLblSkip val="2"/>
        <c:noMultiLvlLbl val="0"/>
      </c:catAx>
      <c:valAx>
        <c:axId val="1417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8034007"/>
        <c:axId val="23149188"/>
      </c:bar3DChart>
      <c:catAx>
        <c:axId val="80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49188"/>
        <c:crosses val="autoZero"/>
        <c:auto val="1"/>
        <c:lblOffset val="100"/>
        <c:tickLblSkip val="1"/>
        <c:noMultiLvlLbl val="0"/>
      </c:catAx>
      <c:valAx>
        <c:axId val="23149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4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8947413"/>
        <c:axId val="64688794"/>
      </c:bar3DChart>
      <c:catAx>
        <c:axId val="1894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88794"/>
        <c:crosses val="autoZero"/>
        <c:auto val="1"/>
        <c:lblOffset val="100"/>
        <c:tickLblSkip val="1"/>
        <c:noMultiLvlLbl val="0"/>
      </c:catAx>
      <c:valAx>
        <c:axId val="64688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7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5954019"/>
        <c:axId val="47127552"/>
      </c:bar3DChart>
      <c:catAx>
        <c:axId val="595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7552"/>
        <c:crosses val="autoZero"/>
        <c:auto val="1"/>
        <c:lblOffset val="100"/>
        <c:tickLblSkip val="1"/>
        <c:noMultiLvlLbl val="0"/>
      </c:catAx>
      <c:valAx>
        <c:axId val="4712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0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14732289"/>
        <c:axId val="42613814"/>
      </c:bar3DChart>
      <c:catAx>
        <c:axId val="14732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3814"/>
        <c:crosses val="autoZero"/>
        <c:auto val="1"/>
        <c:lblOffset val="100"/>
        <c:tickLblSkip val="1"/>
        <c:noMultiLvlLbl val="0"/>
      </c:catAx>
      <c:valAx>
        <c:axId val="4261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2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1" sqref="B131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116</v>
      </c>
      <c r="C3" s="135" t="s">
        <v>112</v>
      </c>
      <c r="D3" s="135" t="s">
        <v>28</v>
      </c>
      <c r="E3" s="135" t="s">
        <v>27</v>
      </c>
      <c r="F3" s="135" t="s">
        <v>117</v>
      </c>
      <c r="G3" s="135" t="s">
        <v>114</v>
      </c>
      <c r="H3" s="135" t="s">
        <v>118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114665.2+25+188.4</f>
        <v>114878.59999999999</v>
      </c>
      <c r="C6" s="50">
        <f>426773.1+25+188.4</f>
        <v>426986.5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</f>
        <v>87941.90000000002</v>
      </c>
      <c r="E6" s="3">
        <f>D6/D149*100</f>
        <v>37.769678655438796</v>
      </c>
      <c r="F6" s="3">
        <f>D6/B6*100</f>
        <v>76.55202970788295</v>
      </c>
      <c r="G6" s="3">
        <f aca="true" t="shared" si="0" ref="G6:G43">D6/C6*100</f>
        <v>20.59594389986569</v>
      </c>
      <c r="H6" s="51">
        <f>B6-D6</f>
        <v>26936.699999999968</v>
      </c>
      <c r="I6" s="51">
        <f aca="true" t="shared" si="1" ref="I6:I43">C6-D6</f>
        <v>339044.6</v>
      </c>
    </row>
    <row r="7" spans="1:9" s="41" customFormat="1" ht="18.75">
      <c r="A7" s="112" t="s">
        <v>98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5419.3+86.3+97.4+56.7+6727.5+560.1+2.9+0.2+1.9+63.8+1046.3+6719.3+1648.4+0.1+3694.8+239.7+583.7+0.6+6625.2+702.1+382.8+87+367+343.9+3400.9</f>
        <v>38857.9</v>
      </c>
      <c r="E7" s="103">
        <f>D7/D6*100</f>
        <v>44.18587726669539</v>
      </c>
      <c r="F7" s="103">
        <f>D7/B7*100</f>
        <v>95.1902560672982</v>
      </c>
      <c r="G7" s="103">
        <f>D7/C7*100</f>
        <v>20.923133750526336</v>
      </c>
      <c r="H7" s="113">
        <f>B7-D7</f>
        <v>1963.4000000000015</v>
      </c>
      <c r="I7" s="113">
        <f t="shared" si="1"/>
        <v>146859.5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3665.2+5419.3+4645.9+6727.5+3.3+4022.1+5553.6+3348.6+2163.6+10156.4+7.2+0.6+10315.5+1+3228.6</f>
        <v>59258.399999999994</v>
      </c>
      <c r="E8" s="1">
        <f>D8/D6*100</f>
        <v>67.38357938593546</v>
      </c>
      <c r="F8" s="1">
        <f>D8/B8*100</f>
        <v>84.26111698050963</v>
      </c>
      <c r="G8" s="1">
        <f t="shared" si="0"/>
        <v>19.879925496910914</v>
      </c>
      <c r="H8" s="48">
        <f>B8-D8</f>
        <v>11068.700000000012</v>
      </c>
      <c r="I8" s="48">
        <f t="shared" si="1"/>
        <v>238823.19999999998</v>
      </c>
    </row>
    <row r="9" spans="1:9" ht="18">
      <c r="A9" s="26" t="s">
        <v>2</v>
      </c>
      <c r="B9" s="46">
        <v>14.8</v>
      </c>
      <c r="C9" s="47">
        <v>85.7</v>
      </c>
      <c r="D9" s="48">
        <f>4+2.9+1.6+0.5+0.5</f>
        <v>9.5</v>
      </c>
      <c r="E9" s="12">
        <f>D9/D6*100</f>
        <v>0.010802586707815044</v>
      </c>
      <c r="F9" s="128">
        <f>D9/B9*100</f>
        <v>64.1891891891892</v>
      </c>
      <c r="G9" s="1">
        <f t="shared" si="0"/>
        <v>11.085180863477245</v>
      </c>
      <c r="H9" s="48">
        <f aca="true" t="shared" si="2" ref="H9:H43">B9-D9</f>
        <v>5.300000000000001</v>
      </c>
      <c r="I9" s="48">
        <f t="shared" si="1"/>
        <v>76.2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345.3+106.4+54.5+56.4+92.4+115.9+196.4+52.1+68.7+86.2+0.1+55.3+64.8+145.1+546+625.6+89.3+262.4+197+554.9+204.6+131+84.2+167.8+234+244.3+224.6+2.6+720.8</f>
        <v>5728.700000000002</v>
      </c>
      <c r="E10" s="1">
        <f>D10/D6*100</f>
        <v>6.514187207690532</v>
      </c>
      <c r="F10" s="1">
        <f aca="true" t="shared" si="3" ref="F10:F41">D10/B10*100</f>
        <v>61.04687716456561</v>
      </c>
      <c r="G10" s="1">
        <f t="shared" si="0"/>
        <v>20.4210616371213</v>
      </c>
      <c r="H10" s="48">
        <f t="shared" si="2"/>
        <v>3655.3999999999987</v>
      </c>
      <c r="I10" s="48">
        <f t="shared" si="1"/>
        <v>22324.2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435.2+111+615.5+123.2+0.2+1.9+63.8+2790+1.3+13.9+1170.1+0.8+3680.6+96.8+2.2+30.4+160.1+658.7+3.6+0.1+13.6+960.9+1669.6+874.3+1539.2+231.8+2136.6+6.8+729.7+312.8+219.9</f>
        <v>18654.600000000002</v>
      </c>
      <c r="E11" s="1">
        <f>D11/D6*100</f>
        <v>21.21241410522174</v>
      </c>
      <c r="F11" s="1">
        <f t="shared" si="3"/>
        <v>67.00935385145912</v>
      </c>
      <c r="G11" s="1">
        <f t="shared" si="0"/>
        <v>26.033985162194302</v>
      </c>
      <c r="H11" s="48">
        <f t="shared" si="2"/>
        <v>9184.199999999997</v>
      </c>
      <c r="I11" s="48">
        <f t="shared" si="1"/>
        <v>53000.2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5+12.7+3.8+1250.6+160.8+241+218.1+277.6+20.3+413.8+8.3+240.5+24.8+2.5+338</f>
        <v>3217.8000000000006</v>
      </c>
      <c r="E12" s="1">
        <f>D12/D6*100</f>
        <v>3.6590066850955005</v>
      </c>
      <c r="F12" s="1">
        <f t="shared" si="3"/>
        <v>86.98637543252597</v>
      </c>
      <c r="G12" s="1">
        <f t="shared" si="0"/>
        <v>21.87194127243067</v>
      </c>
      <c r="H12" s="48">
        <f t="shared" si="2"/>
        <v>481.3999999999992</v>
      </c>
      <c r="I12" s="48">
        <f t="shared" si="1"/>
        <v>11494.199999999999</v>
      </c>
    </row>
    <row r="13" spans="1:9" ht="18.75" thickBot="1">
      <c r="A13" s="26" t="s">
        <v>34</v>
      </c>
      <c r="B13" s="47">
        <f>B6-B8-B9-B10-B11-B12</f>
        <v>3614.599999999985</v>
      </c>
      <c r="C13" s="47">
        <f>C6-C8-C9-C10-C11-C12</f>
        <v>14399.500000000015</v>
      </c>
      <c r="D13" s="47">
        <f>D6-D8-D9-D10-D11-D12</f>
        <v>1072.9000000000256</v>
      </c>
      <c r="E13" s="1">
        <f>D13/D6*100</f>
        <v>1.220010029348951</v>
      </c>
      <c r="F13" s="1">
        <f t="shared" si="3"/>
        <v>29.682399158967243</v>
      </c>
      <c r="G13" s="1">
        <f t="shared" si="0"/>
        <v>7.4509531580959365</v>
      </c>
      <c r="H13" s="48">
        <f t="shared" si="2"/>
        <v>2541.6999999999593</v>
      </c>
      <c r="I13" s="48">
        <f t="shared" si="1"/>
        <v>13326.59999999999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60429.7+416.5+102</f>
        <v>60948.2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</f>
        <v>56191</v>
      </c>
      <c r="E18" s="3">
        <f>D18/D149*100</f>
        <v>24.13316079511315</v>
      </c>
      <c r="F18" s="3">
        <f>D18/B18*100</f>
        <v>92.19468335406133</v>
      </c>
      <c r="G18" s="3">
        <f t="shared" si="0"/>
        <v>22.12318999777158</v>
      </c>
      <c r="H18" s="51">
        <f>B18-D18</f>
        <v>4757.199999999997</v>
      </c>
      <c r="I18" s="51">
        <f t="shared" si="1"/>
        <v>197800.4</v>
      </c>
    </row>
    <row r="19" spans="1:9" s="41" customFormat="1" ht="18.75">
      <c r="A19" s="112" t="s">
        <v>99</v>
      </c>
      <c r="B19" s="105">
        <f>44470.7+102</f>
        <v>44572.7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</f>
        <v>41867.799999999996</v>
      </c>
      <c r="E19" s="103">
        <f>D19/D18*100</f>
        <v>74.50979694257087</v>
      </c>
      <c r="F19" s="103">
        <f t="shared" si="3"/>
        <v>93.93148721078148</v>
      </c>
      <c r="G19" s="103">
        <f t="shared" si="0"/>
        <v>21.927202262490834</v>
      </c>
      <c r="H19" s="113">
        <f t="shared" si="2"/>
        <v>2704.9000000000015</v>
      </c>
      <c r="I19" s="113">
        <f t="shared" si="1"/>
        <v>149072.2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77.2417291025253</v>
      </c>
      <c r="F20" s="1">
        <f t="shared" si="3"/>
        <v>96.95960360915825</v>
      </c>
      <c r="G20" s="1">
        <f t="shared" si="0"/>
        <v>23.254713720918144</v>
      </c>
      <c r="H20" s="48">
        <f t="shared" si="2"/>
        <v>1361.0000000000073</v>
      </c>
      <c r="I20" s="48">
        <f t="shared" si="1"/>
        <v>143238.4</v>
      </c>
    </row>
    <row r="21" spans="1:9" ht="18">
      <c r="A21" s="26" t="s">
        <v>2</v>
      </c>
      <c r="B21" s="46">
        <f>4452.2+250</f>
        <v>4702.2</v>
      </c>
      <c r="C21" s="47">
        <f>20454.1+500</f>
        <v>20954.1</v>
      </c>
      <c r="D21" s="48">
        <f>80.5+183.6+169.4+194.4+100+1.7+148.4+215.7+278.3+117.8+152.1+196.9+0.1+12.4+249.4+61.7+746.5+93.7+472.5+302.1</f>
        <v>3777.1999999999994</v>
      </c>
      <c r="E21" s="1">
        <f>D21/D18*100</f>
        <v>6.722072929828619</v>
      </c>
      <c r="F21" s="1">
        <f t="shared" si="3"/>
        <v>80.328356939305</v>
      </c>
      <c r="G21" s="1">
        <f t="shared" si="0"/>
        <v>18.02606649772598</v>
      </c>
      <c r="H21" s="48">
        <f t="shared" si="2"/>
        <v>925.0000000000005</v>
      </c>
      <c r="I21" s="48">
        <f t="shared" si="1"/>
        <v>17176.899999999998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127.7+23.6+33.5+86.7+19.5+2.9+68.3+78.1+10.6+165.4+2.5+6.5+60.2+104.3</f>
        <v>789.8</v>
      </c>
      <c r="E22" s="1">
        <f>D22/D18*100</f>
        <v>1.4055631684789378</v>
      </c>
      <c r="F22" s="1">
        <f t="shared" si="3"/>
        <v>83.17186183656275</v>
      </c>
      <c r="G22" s="1">
        <f t="shared" si="0"/>
        <v>20.158758518594144</v>
      </c>
      <c r="H22" s="48">
        <f t="shared" si="2"/>
        <v>159.80000000000007</v>
      </c>
      <c r="I22" s="48">
        <f t="shared" si="1"/>
        <v>3128.1000000000004</v>
      </c>
    </row>
    <row r="23" spans="1:9" ht="18">
      <c r="A23" s="26" t="s">
        <v>0</v>
      </c>
      <c r="B23" s="46">
        <f>8710.5-0.2</f>
        <v>8710.3</v>
      </c>
      <c r="C23" s="47">
        <v>27804.4</v>
      </c>
      <c r="D23" s="48">
        <f>230.7+158.8+520.8+110.9+465.7+246.3+3.9+169.6+1975.3+126.5+2+97.4+199.5+165.4+184.4+1288.4+1114.2+20.1</f>
        <v>7079.899999999999</v>
      </c>
      <c r="E23" s="1">
        <f>D23/D18*100</f>
        <v>12.59970457902511</v>
      </c>
      <c r="F23" s="1">
        <f t="shared" si="3"/>
        <v>81.28193058792463</v>
      </c>
      <c r="G23" s="1">
        <f t="shared" si="0"/>
        <v>25.463236034584448</v>
      </c>
      <c r="H23" s="48">
        <f t="shared" si="2"/>
        <v>1630.4000000000005</v>
      </c>
      <c r="I23" s="48">
        <f t="shared" si="1"/>
        <v>20724.500000000004</v>
      </c>
    </row>
    <row r="24" spans="1:9" ht="18">
      <c r="A24" s="26" t="s">
        <v>15</v>
      </c>
      <c r="B24" s="46">
        <f>395.5+0.2</f>
        <v>395.7</v>
      </c>
      <c r="C24" s="47">
        <v>1591.6</v>
      </c>
      <c r="D24" s="48">
        <f>73.6+22.6+5.3+2.4+2.5+128.1+0.1+11.5+121.2</f>
        <v>367.3</v>
      </c>
      <c r="E24" s="1">
        <f>D24/D18*100</f>
        <v>0.6536633980530691</v>
      </c>
      <c r="F24" s="1">
        <f t="shared" si="3"/>
        <v>92.82284559009351</v>
      </c>
      <c r="G24" s="1">
        <f t="shared" si="0"/>
        <v>23.077406383513445</v>
      </c>
      <c r="H24" s="48">
        <f t="shared" si="2"/>
        <v>28.399999999999977</v>
      </c>
      <c r="I24" s="48">
        <f t="shared" si="1"/>
        <v>1224.3</v>
      </c>
    </row>
    <row r="25" spans="1:9" ht="18.75" thickBot="1">
      <c r="A25" s="26" t="s">
        <v>34</v>
      </c>
      <c r="B25" s="47">
        <f>B18-B20-B21-B22-B23-B24</f>
        <v>1426.4999999999952</v>
      </c>
      <c r="C25" s="47">
        <f>C18-C20-C21-C22-C23-C24</f>
        <v>13082.100000000004</v>
      </c>
      <c r="D25" s="47">
        <f>D18-D20-D21-D22-D23-D24</f>
        <v>773.900000000009</v>
      </c>
      <c r="E25" s="1">
        <f>D25/D18*100</f>
        <v>1.3772668220889626</v>
      </c>
      <c r="F25" s="1">
        <f t="shared" si="3"/>
        <v>54.251664914126295</v>
      </c>
      <c r="G25" s="1">
        <f t="shared" si="0"/>
        <v>5.915716895605512</v>
      </c>
      <c r="H25" s="48">
        <f t="shared" si="2"/>
        <v>652.5999999999863</v>
      </c>
      <c r="I25" s="48">
        <f t="shared" si="1"/>
        <v>12308.199999999995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12789.8+19.2</f>
        <v>12809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</f>
        <v>11176.3</v>
      </c>
      <c r="E33" s="3">
        <f>D33/D149*100</f>
        <v>4.800047071495846</v>
      </c>
      <c r="F33" s="3">
        <f>D33/B33*100</f>
        <v>87.25349363728627</v>
      </c>
      <c r="G33" s="3">
        <f t="shared" si="0"/>
        <v>22.225779701025946</v>
      </c>
      <c r="H33" s="51">
        <f t="shared" si="2"/>
        <v>1632.7000000000007</v>
      </c>
      <c r="I33" s="51">
        <f t="shared" si="1"/>
        <v>39109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1335+1268.2+1354.9+1304.2+1357+1359.6</f>
        <v>7978.9</v>
      </c>
      <c r="E34" s="1">
        <f>D34/D33*100</f>
        <v>71.3912475506205</v>
      </c>
      <c r="F34" s="1">
        <f t="shared" si="3"/>
        <v>97.78423226344106</v>
      </c>
      <c r="G34" s="1">
        <f t="shared" si="0"/>
        <v>22.78605004483588</v>
      </c>
      <c r="H34" s="48">
        <f t="shared" si="2"/>
        <v>180.80000000000018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10.5+61.2+112+1.1+10.5+29.3+0.6+6.8+9.7+3.4+19.2+41.9-0.2+31.7+187.3+26+0.6+2.4+24.9+11.7+8.1</f>
        <v>598.7</v>
      </c>
      <c r="E36" s="1">
        <f>D36/D33*100</f>
        <v>5.356871236455715</v>
      </c>
      <c r="F36" s="1">
        <f t="shared" si="3"/>
        <v>43.576679525438536</v>
      </c>
      <c r="G36" s="1">
        <f t="shared" si="0"/>
        <v>17.689989362959462</v>
      </c>
      <c r="H36" s="48">
        <f t="shared" si="2"/>
        <v>775.2</v>
      </c>
      <c r="I36" s="48">
        <f t="shared" si="1"/>
        <v>2785.7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0.7023791415763715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5.1+5.1+5.1</f>
        <v>15.299999999999999</v>
      </c>
      <c r="E38" s="1">
        <f>D38/D33*100</f>
        <v>0.13689682631998068</v>
      </c>
      <c r="F38" s="1">
        <f t="shared" si="3"/>
        <v>99.99999999999999</v>
      </c>
      <c r="G38" s="1">
        <f t="shared" si="0"/>
        <v>25.164473684210524</v>
      </c>
      <c r="H38" s="48">
        <f t="shared" si="2"/>
        <v>0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3169</v>
      </c>
      <c r="C39" s="46">
        <f>C33-C34-C36-C37-C35-C38</f>
        <v>10894.199999999999</v>
      </c>
      <c r="D39" s="46">
        <f>D33-D34-D36-D37-D35-D38</f>
        <v>2504.8999999999996</v>
      </c>
      <c r="E39" s="1">
        <f>D39/D33*100</f>
        <v>22.41260524502742</v>
      </c>
      <c r="F39" s="1">
        <f t="shared" si="3"/>
        <v>79.0438624171663</v>
      </c>
      <c r="G39" s="1">
        <f t="shared" si="0"/>
        <v>22.992968735657506</v>
      </c>
      <c r="H39" s="48">
        <f>B39-D39</f>
        <v>664.1000000000004</v>
      </c>
      <c r="I39" s="48">
        <f t="shared" si="1"/>
        <v>8389.3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208.1+61</f>
        <v>269.1</v>
      </c>
      <c r="C43" s="50">
        <f>829.5+61</f>
        <v>890.5</v>
      </c>
      <c r="D43" s="51">
        <f>22.2+3+5+12.1+5.3+62.1+8.7+22.7</f>
        <v>141.1</v>
      </c>
      <c r="E43" s="3">
        <f>D43/D149*100</f>
        <v>0.060600256058629766</v>
      </c>
      <c r="F43" s="3">
        <f>D43/B43*100</f>
        <v>52.434039390561125</v>
      </c>
      <c r="G43" s="3">
        <f t="shared" si="0"/>
        <v>15.845030881527231</v>
      </c>
      <c r="H43" s="51">
        <f t="shared" si="2"/>
        <v>128.00000000000003</v>
      </c>
      <c r="I43" s="51">
        <f t="shared" si="1"/>
        <v>749.4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224.1+260.8+14.4+236.4+3.2+114.6+291.3+0.1+96+241.4+13.4+0.1</f>
        <v>1495.8</v>
      </c>
      <c r="E45" s="3">
        <f>D45/D149*100</f>
        <v>0.6424228420446378</v>
      </c>
      <c r="F45" s="3">
        <f>D45/B45*100</f>
        <v>77.74832371744893</v>
      </c>
      <c r="G45" s="3">
        <f aca="true" t="shared" si="4" ref="G45:G75">D45/C45*100</f>
        <v>19.321587268781645</v>
      </c>
      <c r="H45" s="51">
        <f>B45-D45</f>
        <v>428.10000000000014</v>
      </c>
      <c r="I45" s="51">
        <f aca="true" t="shared" si="5" ref="I45:I76">C45-D45</f>
        <v>6245.8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83.44698489102822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</f>
        <v>0.3</v>
      </c>
      <c r="E47" s="1">
        <f>D47/D45*100</f>
        <v>0.02005615724027276</v>
      </c>
      <c r="F47" s="1">
        <f t="shared" si="6"/>
        <v>37.49999999999999</v>
      </c>
      <c r="G47" s="1">
        <f t="shared" si="4"/>
        <v>23.076923076923077</v>
      </c>
      <c r="H47" s="48">
        <f t="shared" si="7"/>
        <v>0.5</v>
      </c>
      <c r="I47" s="48">
        <f t="shared" si="5"/>
        <v>1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0.5949993314614254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2.2+2.5+0.8+112.4+2.2+0.1+69.1+4.4</f>
        <v>193.70000000000002</v>
      </c>
      <c r="E49" s="1">
        <f>D49/D45*100</f>
        <v>12.94959219146945</v>
      </c>
      <c r="F49" s="1">
        <f t="shared" si="6"/>
        <v>80.20703933747413</v>
      </c>
      <c r="G49" s="1">
        <f t="shared" si="4"/>
        <v>34.07211961301672</v>
      </c>
      <c r="H49" s="48">
        <f t="shared" si="7"/>
        <v>47.79999999999998</v>
      </c>
      <c r="I49" s="48">
        <f t="shared" si="5"/>
        <v>374.79999999999995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44.699999999999896</v>
      </c>
      <c r="E50" s="1">
        <f>D50/D45*100</f>
        <v>2.988367428800635</v>
      </c>
      <c r="F50" s="1">
        <f t="shared" si="6"/>
        <v>58.584534731323544</v>
      </c>
      <c r="G50" s="1">
        <f t="shared" si="4"/>
        <v>12.863309352517957</v>
      </c>
      <c r="H50" s="48">
        <f t="shared" si="7"/>
        <v>31.600000000000158</v>
      </c>
      <c r="I50" s="48">
        <f t="shared" si="5"/>
        <v>302.8000000000001</v>
      </c>
    </row>
    <row r="51" spans="1:9" ht="18.75" thickBot="1">
      <c r="A51" s="25" t="s">
        <v>4</v>
      </c>
      <c r="B51" s="49">
        <f>3826.4+36.8</f>
        <v>3863.2000000000003</v>
      </c>
      <c r="C51" s="50">
        <f>16075.7+36.8</f>
        <v>16112.5</v>
      </c>
      <c r="D51" s="51">
        <f>8+294.9+37.1+10.7+29.1+464+10.3+76.6+3.8+16.5+359.8+101.4+28.4+17.4+423.7+90.6+34.9+37+0.1+9.1+9.3+297.9+22+64.6+70.7+6+66.1+10+1</f>
        <v>2601</v>
      </c>
      <c r="E51" s="3">
        <f>D51/D149*100</f>
        <v>1.117089057466308</v>
      </c>
      <c r="F51" s="3">
        <f>D51/B51*100</f>
        <v>67.32760405881135</v>
      </c>
      <c r="G51" s="3">
        <f t="shared" si="4"/>
        <v>16.142746314972847</v>
      </c>
      <c r="H51" s="51">
        <f>B51-D51</f>
        <v>1262.2000000000003</v>
      </c>
      <c r="I51" s="51">
        <f t="shared" si="5"/>
        <v>13511.5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67.69319492502883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1.3+0.7+2.1+1+7.6+7.5+6.3</f>
        <v>26.5</v>
      </c>
      <c r="E54" s="1">
        <f>D54/D51*100</f>
        <v>1.0188389081122646</v>
      </c>
      <c r="F54" s="1">
        <f t="shared" si="6"/>
        <v>47.4910394265233</v>
      </c>
      <c r="G54" s="1">
        <f t="shared" si="4"/>
        <v>9.233449477351916</v>
      </c>
      <c r="H54" s="48">
        <f t="shared" si="7"/>
        <v>29.299999999999997</v>
      </c>
      <c r="I54" s="48">
        <f t="shared" si="5"/>
        <v>260.5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10.7+0.6+7.6+85.1+28.4+14.4+0.1+8.5+0.1+7+0.1+7.7+62.8+6+1.3+0.9+0.9</f>
        <v>242.2</v>
      </c>
      <c r="E55" s="1">
        <f>D55/D51*100</f>
        <v>9.311803152633601</v>
      </c>
      <c r="F55" s="1">
        <f t="shared" si="6"/>
        <v>71.38225758915414</v>
      </c>
      <c r="G55" s="1">
        <f t="shared" si="4"/>
        <v>25.95648912228057</v>
      </c>
      <c r="H55" s="48">
        <f t="shared" si="7"/>
        <v>97.10000000000002</v>
      </c>
      <c r="I55" s="48">
        <f t="shared" si="5"/>
        <v>690.9000000000001</v>
      </c>
    </row>
    <row r="56" spans="1:9" ht="18.75" thickBot="1">
      <c r="A56" s="26" t="s">
        <v>34</v>
      </c>
      <c r="B56" s="47">
        <f>B51-B52-B55-B54-B53</f>
        <v>1191.7000000000003</v>
      </c>
      <c r="C56" s="47">
        <f>C51-C52-C55-C54-C53</f>
        <v>4551.699999999999</v>
      </c>
      <c r="D56" s="47">
        <f>D51-D52-D55-D54-D53</f>
        <v>571.6000000000001</v>
      </c>
      <c r="E56" s="1">
        <f>D56/D51*100</f>
        <v>21.976163014225303</v>
      </c>
      <c r="F56" s="1">
        <f t="shared" si="6"/>
        <v>47.96509188554167</v>
      </c>
      <c r="G56" s="1">
        <f t="shared" si="4"/>
        <v>12.557945383043704</v>
      </c>
      <c r="H56" s="48">
        <f t="shared" si="7"/>
        <v>620.1000000000001</v>
      </c>
      <c r="I56" s="48">
        <f>C56-D56</f>
        <v>3980.0999999999985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43.5+4.7+72.8+47.2+46+5+62.5+3.8+40.9+35.3+2.1+2.9+21.1+3.9</f>
        <v>391.7</v>
      </c>
      <c r="E58" s="3">
        <f>D58/D149*100</f>
        <v>0.16822905951924366</v>
      </c>
      <c r="F58" s="3">
        <f>D58/B58*100</f>
        <v>65.55648535564853</v>
      </c>
      <c r="G58" s="3">
        <f t="shared" si="4"/>
        <v>6.6595259954435715</v>
      </c>
      <c r="H58" s="51">
        <f>B58-D58</f>
        <v>205.8</v>
      </c>
      <c r="I58" s="51">
        <f t="shared" si="5"/>
        <v>5490.1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66.73474597906561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4.7+45.7+4.9+40.9+19.8+3.9</f>
        <v>119.9</v>
      </c>
      <c r="E61" s="1">
        <f>D61/D58*100</f>
        <v>30.610160837375545</v>
      </c>
      <c r="F61" s="1">
        <f t="shared" si="6"/>
        <v>55.151793928242874</v>
      </c>
      <c r="G61" s="1">
        <f t="shared" si="4"/>
        <v>19.10756972111554</v>
      </c>
      <c r="H61" s="48">
        <f t="shared" si="7"/>
        <v>97.5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10.400000000000006</v>
      </c>
      <c r="E63" s="1">
        <f>D63/D58*100</f>
        <v>2.6550931835588476</v>
      </c>
      <c r="F63" s="1">
        <f t="shared" si="6"/>
        <v>34.782608695652186</v>
      </c>
      <c r="G63" s="1">
        <f t="shared" si="4"/>
        <v>5.249873801110539</v>
      </c>
      <c r="H63" s="48">
        <f t="shared" si="7"/>
        <v>19.5</v>
      </c>
      <c r="I63" s="48">
        <f t="shared" si="5"/>
        <v>187.70000000000053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128</v>
      </c>
      <c r="C68" s="50">
        <f>C69+C70</f>
        <v>418.4</v>
      </c>
      <c r="D68" s="51">
        <f>SUM(D69:D70)</f>
        <v>28.000000000000004</v>
      </c>
      <c r="E68" s="39">
        <f>D68/D149*100</f>
        <v>0.012025564632470828</v>
      </c>
      <c r="F68" s="3">
        <f>D68/B68*100</f>
        <v>21.875000000000004</v>
      </c>
      <c r="G68" s="3">
        <f t="shared" si="4"/>
        <v>6.692160611854686</v>
      </c>
      <c r="H68" s="51">
        <f>B68-D68</f>
        <v>100</v>
      </c>
      <c r="I68" s="51">
        <f t="shared" si="5"/>
        <v>390.4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3.9+1+3+8.8+1.5+9.8</f>
        <v>28.000000000000004</v>
      </c>
      <c r="E69" s="1">
        <f>D69/D68*100</f>
        <v>100</v>
      </c>
      <c r="F69" s="1">
        <f t="shared" si="6"/>
        <v>39.106145251396654</v>
      </c>
      <c r="G69" s="1">
        <f t="shared" si="4"/>
        <v>16.374269005847957</v>
      </c>
      <c r="H69" s="48">
        <f t="shared" si="7"/>
        <v>43.599999999999994</v>
      </c>
      <c r="I69" s="48">
        <f t="shared" si="5"/>
        <v>143</v>
      </c>
    </row>
    <row r="70" spans="1:9" ht="18.75" thickBot="1">
      <c r="A70" s="26" t="s">
        <v>9</v>
      </c>
      <c r="B70" s="46">
        <f>62.4-6</f>
        <v>56.4</v>
      </c>
      <c r="C70" s="47">
        <f>253.4-6</f>
        <v>247.4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56.4</v>
      </c>
      <c r="I70" s="48">
        <f t="shared" si="5"/>
        <v>247.4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f>13566.2+1761.2</f>
        <v>15327.400000000001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</f>
        <v>9765.2</v>
      </c>
      <c r="E89" s="3">
        <f>D89/D149*100</f>
        <v>4.1940015624644325</v>
      </c>
      <c r="F89" s="3">
        <f aca="true" t="shared" si="10" ref="F89:F95">D89/B89*100</f>
        <v>63.71074024296358</v>
      </c>
      <c r="G89" s="3">
        <f t="shared" si="8"/>
        <v>17.41841694537347</v>
      </c>
      <c r="H89" s="51">
        <f aca="true" t="shared" si="11" ref="H89:H95">B89-D89</f>
        <v>5562.200000000001</v>
      </c>
      <c r="I89" s="51">
        <f t="shared" si="9"/>
        <v>46297.3</v>
      </c>
    </row>
    <row r="90" spans="1:9" ht="18">
      <c r="A90" s="26" t="s">
        <v>3</v>
      </c>
      <c r="B90" s="46">
        <f>11319.6-48.1+1725.5</f>
        <v>12997</v>
      </c>
      <c r="C90" s="47">
        <f>41785.6+5825.3</f>
        <v>47610.9</v>
      </c>
      <c r="D90" s="48">
        <f>504.1+600.9+12.5+0.1+294.4+657+710.4+56.2+67.4+61.4+375.5+513+243.5+0.3+0.2+0.2+1502.8+529.2+582+0.1+29+142.9+14.9+1.4+1.9+241.9+972.3+146.3+19.4+5.4+12.1+9.3+245.6</f>
        <v>8553.599999999997</v>
      </c>
      <c r="E90" s="1">
        <f>D90/D89*100</f>
        <v>87.59267603326093</v>
      </c>
      <c r="F90" s="1">
        <f t="shared" si="10"/>
        <v>65.81211048703544</v>
      </c>
      <c r="G90" s="1">
        <f t="shared" si="8"/>
        <v>17.965633919963697</v>
      </c>
      <c r="H90" s="48">
        <f t="shared" si="11"/>
        <v>4443.400000000003</v>
      </c>
      <c r="I90" s="48">
        <f t="shared" si="9"/>
        <v>39057.3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9.8+96.8+35.3+50.2+30+1.1+18.1+138.1+43.8+4.2</f>
        <v>427.4</v>
      </c>
      <c r="E91" s="1">
        <f>D91/D89*100</f>
        <v>4.376766476877073</v>
      </c>
      <c r="F91" s="1">
        <f t="shared" si="10"/>
        <v>46.59834278238117</v>
      </c>
      <c r="G91" s="1">
        <f t="shared" si="8"/>
        <v>17.261712439418417</v>
      </c>
      <c r="H91" s="48">
        <f t="shared" si="11"/>
        <v>489.79999999999995</v>
      </c>
      <c r="I91" s="48">
        <f t="shared" si="9"/>
        <v>2048.6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1413.2000000000016</v>
      </c>
      <c r="C93" s="47">
        <f>C89-C90-C91-C92</f>
        <v>5975.5999999999985</v>
      </c>
      <c r="D93" s="47">
        <f>D89-D90-D91-D92</f>
        <v>784.200000000004</v>
      </c>
      <c r="E93" s="1">
        <f>D93/D89*100</f>
        <v>8.030557489861998</v>
      </c>
      <c r="F93" s="1">
        <f t="shared" si="10"/>
        <v>55.49108406453461</v>
      </c>
      <c r="G93" s="1">
        <f>D93/C93*100</f>
        <v>13.123368364683117</v>
      </c>
      <c r="H93" s="48">
        <f t="shared" si="11"/>
        <v>628.9999999999976</v>
      </c>
      <c r="I93" s="48">
        <f>C93-D93</f>
        <v>5191.399999999994</v>
      </c>
    </row>
    <row r="94" spans="1:9" ht="18.75">
      <c r="A94" s="116" t="s">
        <v>12</v>
      </c>
      <c r="B94" s="119">
        <f>20713.6+1490.6+907</f>
        <v>23111.199999999997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</f>
        <v>16903.5</v>
      </c>
      <c r="E94" s="115">
        <f>D94/D149*100</f>
        <v>7.259790420177521</v>
      </c>
      <c r="F94" s="118">
        <f t="shared" si="10"/>
        <v>73.13986292360414</v>
      </c>
      <c r="G94" s="114">
        <f>D94/C94*100</f>
        <v>21.255259273044608</v>
      </c>
      <c r="H94" s="120">
        <f t="shared" si="11"/>
        <v>6207.699999999997</v>
      </c>
      <c r="I94" s="130">
        <f>C94-D94</f>
        <v>62622.7</v>
      </c>
    </row>
    <row r="95" spans="1:9" ht="18.75" thickBot="1">
      <c r="A95" s="117" t="s">
        <v>100</v>
      </c>
      <c r="B95" s="122">
        <v>1323.4</v>
      </c>
      <c r="C95" s="123">
        <v>5343.5</v>
      </c>
      <c r="D95" s="124">
        <f>57.3+368.5+61.1+0.1+320+59</f>
        <v>866</v>
      </c>
      <c r="E95" s="125">
        <f>D95/D94*100</f>
        <v>5.123199337415328</v>
      </c>
      <c r="F95" s="126">
        <f t="shared" si="10"/>
        <v>65.437509445368</v>
      </c>
      <c r="G95" s="127">
        <f>D95/C95*100</f>
        <v>16.20660615701319</v>
      </c>
      <c r="H95" s="131">
        <f t="shared" si="11"/>
        <v>457.4000000000001</v>
      </c>
      <c r="I95" s="132">
        <f>C95-D95</f>
        <v>4477.5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40+388.7+47.5+2+10.9+26+40+10.7+4.9+126.7+451+1.9+19.2+1.6+31.5+41+134.3+2+40+303.9+42.9+136.5</f>
        <v>1903.2000000000003</v>
      </c>
      <c r="E101" s="22">
        <f>D101/D149*100</f>
        <v>0.8173948074470885</v>
      </c>
      <c r="F101" s="22">
        <f>D101/B101*100</f>
        <v>77.72287336137545</v>
      </c>
      <c r="G101" s="22">
        <f aca="true" t="shared" si="12" ref="G101:G147">D101/C101*100</f>
        <v>17.781431894836174</v>
      </c>
      <c r="H101" s="87">
        <f aca="true" t="shared" si="13" ref="H101:H106">B101-D101</f>
        <v>545.4999999999995</v>
      </c>
      <c r="I101" s="87">
        <f aca="true" t="shared" si="14" ref="I101:I147">C101-D101</f>
        <v>8800.099999999999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60</v>
      </c>
      <c r="B103" s="78">
        <v>2140.8</v>
      </c>
      <c r="C103" s="48">
        <v>8863.3</v>
      </c>
      <c r="D103" s="48">
        <f>39.8+388.5+20.6+2+26+40+4.1+126.5+407.9+18+31.2+40.6+134.1+2+40+303.9+135.8</f>
        <v>1760.9999999999998</v>
      </c>
      <c r="E103" s="1">
        <f>D103/D101*100</f>
        <v>92.52837326607816</v>
      </c>
      <c r="F103" s="1">
        <f aca="true" t="shared" si="15" ref="F103:F147">D103/B103*100</f>
        <v>82.25896860986546</v>
      </c>
      <c r="G103" s="1">
        <f t="shared" si="12"/>
        <v>19.868446289756637</v>
      </c>
      <c r="H103" s="48">
        <f t="shared" si="13"/>
        <v>379.8000000000004</v>
      </c>
      <c r="I103" s="48">
        <f t="shared" si="14"/>
        <v>7102.299999999999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142.2000000000005</v>
      </c>
      <c r="E105" s="92">
        <f>D105/D101*100</f>
        <v>7.47162673392184</v>
      </c>
      <c r="F105" s="92">
        <f t="shared" si="15"/>
        <v>46.1838259175059</v>
      </c>
      <c r="G105" s="92">
        <f t="shared" si="12"/>
        <v>8.605664488017462</v>
      </c>
      <c r="H105" s="132">
        <f>B105-D105</f>
        <v>165.69999999999914</v>
      </c>
      <c r="I105" s="132">
        <f t="shared" si="14"/>
        <v>1510.1999999999991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49723.200000000004</v>
      </c>
      <c r="C106" s="89">
        <f>SUM(C107:C146)-C114-C118+C147-C138-C139-C108-C111-C121-C122-C136-C130-C128</f>
        <v>384671.6</v>
      </c>
      <c r="D106" s="89">
        <f>SUM(D107:D146)-D114-D118+D147-D138-D139-D108-D111-D121-D122-D136-D130-D128</f>
        <v>44298.60000000001</v>
      </c>
      <c r="E106" s="90">
        <f>D106/D149*100</f>
        <v>19.02555990814187</v>
      </c>
      <c r="F106" s="90">
        <f>D106/B106*100</f>
        <v>89.09040447919685</v>
      </c>
      <c r="G106" s="90">
        <f t="shared" si="12"/>
        <v>11.515952828334616</v>
      </c>
      <c r="H106" s="89">
        <f t="shared" si="13"/>
        <v>5424.599999999991</v>
      </c>
      <c r="I106" s="89">
        <f t="shared" si="14"/>
        <v>340372.99999999994</v>
      </c>
    </row>
    <row r="107" spans="1:9" ht="37.5">
      <c r="A107" s="31" t="s">
        <v>64</v>
      </c>
      <c r="B107" s="75">
        <f>590.4+42</f>
        <v>632.4</v>
      </c>
      <c r="C107" s="71">
        <v>2166.2</v>
      </c>
      <c r="D107" s="76">
        <f>142.7+0.9+78.6+37.4+44.2</f>
        <v>303.79999999999995</v>
      </c>
      <c r="E107" s="6">
        <f>D107/D106*100</f>
        <v>0.6858004541904256</v>
      </c>
      <c r="F107" s="6">
        <f t="shared" si="15"/>
        <v>48.0392156862745</v>
      </c>
      <c r="G107" s="6">
        <f t="shared" si="12"/>
        <v>14.024559135813867</v>
      </c>
      <c r="H107" s="65">
        <f aca="true" t="shared" si="16" ref="H107:H147">B107-D107</f>
        <v>328.6</v>
      </c>
      <c r="I107" s="65">
        <f t="shared" si="14"/>
        <v>1862.3999999999999</v>
      </c>
    </row>
    <row r="108" spans="1:9" ht="18">
      <c r="A108" s="26" t="s">
        <v>32</v>
      </c>
      <c r="B108" s="78">
        <f>323.1+42</f>
        <v>365.1</v>
      </c>
      <c r="C108" s="48">
        <v>1213.5</v>
      </c>
      <c r="D108" s="79">
        <f>142.7+0.9+78.6+37.4</f>
        <v>259.59999999999997</v>
      </c>
      <c r="E108" s="1">
        <f>D108/D107*100</f>
        <v>85.45095457537853</v>
      </c>
      <c r="F108" s="1">
        <f t="shared" si="15"/>
        <v>71.10380717611612</v>
      </c>
      <c r="G108" s="1">
        <f t="shared" si="12"/>
        <v>21.392665842604035</v>
      </c>
      <c r="H108" s="48">
        <f t="shared" si="16"/>
        <v>105.50000000000006</v>
      </c>
      <c r="I108" s="48">
        <f t="shared" si="14"/>
        <v>953.9000000000001</v>
      </c>
    </row>
    <row r="109" spans="1:9" ht="34.5" customHeight="1">
      <c r="A109" s="16" t="s">
        <v>95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0.2072300253281142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>
      <c r="A110" s="16" t="s">
        <v>71</v>
      </c>
      <c r="B110" s="77">
        <v>0</v>
      </c>
      <c r="C110" s="57">
        <v>774.1</v>
      </c>
      <c r="D110" s="80"/>
      <c r="E110" s="6">
        <f>D110/D106*100</f>
        <v>0</v>
      </c>
      <c r="F110" s="133" t="e">
        <f t="shared" si="15"/>
        <v>#DIV/0!</v>
      </c>
      <c r="G110" s="6">
        <f t="shared" si="12"/>
        <v>0</v>
      </c>
      <c r="H110" s="65">
        <f t="shared" si="16"/>
        <v>0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82.2+4.4+0.2+16.8+100.8+0.1+8.3+21.3</f>
        <v>234.10000000000002</v>
      </c>
      <c r="E113" s="6">
        <f>D113/D106*100</f>
        <v>0.5284591386635242</v>
      </c>
      <c r="F113" s="6">
        <f t="shared" si="15"/>
        <v>50.279209621993125</v>
      </c>
      <c r="G113" s="6">
        <f t="shared" si="12"/>
        <v>13.035972825481682</v>
      </c>
      <c r="H113" s="65">
        <f t="shared" si="16"/>
        <v>231.5</v>
      </c>
      <c r="I113" s="65">
        <f t="shared" si="14"/>
        <v>1561.6999999999998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119</v>
      </c>
      <c r="B115" s="77">
        <v>0</v>
      </c>
      <c r="C115" s="57">
        <v>264.5</v>
      </c>
      <c r="D115" s="80"/>
      <c r="E115" s="17">
        <f>D115/D106*100</f>
        <v>0</v>
      </c>
      <c r="F115" s="133" t="e">
        <f t="shared" si="15"/>
        <v>#DIV/0!</v>
      </c>
      <c r="G115" s="17">
        <f t="shared" si="12"/>
        <v>0</v>
      </c>
      <c r="H115" s="57">
        <f t="shared" si="16"/>
        <v>0</v>
      </c>
      <c r="I115" s="57">
        <f t="shared" si="14"/>
        <v>264.5</v>
      </c>
    </row>
    <row r="116" spans="1:9" ht="37.5">
      <c r="A116" s="16" t="s">
        <v>57</v>
      </c>
      <c r="B116" s="77">
        <v>0</v>
      </c>
      <c r="C116" s="65">
        <v>110</v>
      </c>
      <c r="D116" s="76"/>
      <c r="E116" s="6">
        <f>D116/D106*100</f>
        <v>0</v>
      </c>
      <c r="F116" s="133" t="e">
        <f>D116/B116*100</f>
        <v>#DIV/0!</v>
      </c>
      <c r="G116" s="6">
        <f t="shared" si="12"/>
        <v>0</v>
      </c>
      <c r="H116" s="65">
        <f t="shared" si="16"/>
        <v>0</v>
      </c>
      <c r="I116" s="65">
        <f t="shared" si="14"/>
        <v>110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0.09887445652910021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f>5096.9+1707.5</f>
        <v>6804.4</v>
      </c>
      <c r="D123" s="80">
        <f>3776+7.6+1124+100</f>
        <v>5007.6</v>
      </c>
      <c r="E123" s="17">
        <f>D123/D106*100</f>
        <v>11.304194714957129</v>
      </c>
      <c r="F123" s="6">
        <f t="shared" si="15"/>
        <v>99.54477686114701</v>
      </c>
      <c r="G123" s="6">
        <f t="shared" si="12"/>
        <v>73.59355711010524</v>
      </c>
      <c r="H123" s="65">
        <f t="shared" si="16"/>
        <v>22.899999999999636</v>
      </c>
      <c r="I123" s="65">
        <f t="shared" si="14"/>
        <v>1796.7999999999993</v>
      </c>
    </row>
    <row r="124" spans="1:9" s="2" customFormat="1" ht="18.75">
      <c r="A124" s="16" t="s">
        <v>121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120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</f>
        <v>4.5</v>
      </c>
      <c r="E126" s="17">
        <f>D126/D106*100</f>
        <v>0.010158334574907557</v>
      </c>
      <c r="F126" s="6">
        <f t="shared" si="15"/>
        <v>4.731861198738171</v>
      </c>
      <c r="G126" s="6">
        <f t="shared" si="12"/>
        <v>4.731861198738171</v>
      </c>
      <c r="H126" s="65">
        <f t="shared" si="16"/>
        <v>90.6</v>
      </c>
      <c r="I126" s="65">
        <f t="shared" si="14"/>
        <v>90.6</v>
      </c>
    </row>
    <row r="127" spans="1:9" s="2" customFormat="1" ht="37.5">
      <c r="A127" s="16" t="s">
        <v>74</v>
      </c>
      <c r="B127" s="77">
        <v>184.1</v>
      </c>
      <c r="C127" s="57">
        <v>983</v>
      </c>
      <c r="D127" s="80">
        <f>2.8+14.4+2.8+8.8+3.7+4</f>
        <v>36.5</v>
      </c>
      <c r="E127" s="17">
        <f>D127/D106*100</f>
        <v>0.08239538044091685</v>
      </c>
      <c r="F127" s="6">
        <f t="shared" si="15"/>
        <v>19.826181423139598</v>
      </c>
      <c r="G127" s="6">
        <f t="shared" si="12"/>
        <v>3.7131230925737535</v>
      </c>
      <c r="H127" s="65">
        <f t="shared" si="16"/>
        <v>147.6</v>
      </c>
      <c r="I127" s="65">
        <f t="shared" si="14"/>
        <v>946.5</v>
      </c>
    </row>
    <row r="128" spans="1:9" s="36" customFormat="1" ht="18">
      <c r="A128" s="26" t="s">
        <v>111</v>
      </c>
      <c r="B128" s="78">
        <f>157.2-4.1-5.8</f>
        <v>147.29999999999998</v>
      </c>
      <c r="C128" s="48">
        <v>851.8</v>
      </c>
      <c r="D128" s="79">
        <f>2.8+2.8-0.1</f>
        <v>5.5</v>
      </c>
      <c r="E128" s="1">
        <f>D128/D127*100</f>
        <v>15.068493150684931</v>
      </c>
      <c r="F128" s="1">
        <f>D128/B128*100</f>
        <v>3.7338764426340805</v>
      </c>
      <c r="G128" s="1">
        <f t="shared" si="12"/>
        <v>0.6456914768725054</v>
      </c>
      <c r="H128" s="48">
        <f t="shared" si="16"/>
        <v>141.79999999999998</v>
      </c>
      <c r="I128" s="48">
        <f t="shared" si="14"/>
        <v>846.3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22.8</v>
      </c>
      <c r="C131" s="57">
        <v>64.1</v>
      </c>
      <c r="D131" s="80">
        <f>0.8</f>
        <v>0.8</v>
      </c>
      <c r="E131" s="17">
        <f>D131/D106*100</f>
        <v>0.0018059261466502323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114.2</v>
      </c>
      <c r="C133" s="57">
        <v>600</v>
      </c>
      <c r="D133" s="80">
        <f>0.8+5</f>
        <v>5.8</v>
      </c>
      <c r="E133" s="17">
        <f>D133/D106*100</f>
        <v>0.013092964563214182</v>
      </c>
      <c r="F133" s="6">
        <f t="shared" si="15"/>
        <v>5.078809106830122</v>
      </c>
      <c r="G133" s="6">
        <f t="shared" si="12"/>
        <v>0.9666666666666667</v>
      </c>
      <c r="H133" s="65">
        <f t="shared" si="16"/>
        <v>108.4</v>
      </c>
      <c r="I133" s="65">
        <f t="shared" si="14"/>
        <v>594.2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128.3</v>
      </c>
      <c r="C135" s="57">
        <v>363.7</v>
      </c>
      <c r="D135" s="80">
        <f>5.2+0.3+2.7+0.1+0.5+0.2</f>
        <v>8.999999999999998</v>
      </c>
      <c r="E135" s="17">
        <f>D135/D106*100</f>
        <v>0.020316669149815107</v>
      </c>
      <c r="F135" s="6">
        <f t="shared" si="15"/>
        <v>7.014809041309429</v>
      </c>
      <c r="G135" s="6">
        <f>D135/C135*100</f>
        <v>2.4745669507836126</v>
      </c>
      <c r="H135" s="65">
        <f t="shared" si="16"/>
        <v>119.30000000000001</v>
      </c>
      <c r="I135" s="65">
        <f t="shared" si="14"/>
        <v>354.7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3.333333333333334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26.5+42.3+30.1+3.6+8.6+42.3+0.1+5.7+31.9+5.2</f>
        <v>196.29999999999995</v>
      </c>
      <c r="E137" s="17">
        <f>D137/D106*100</f>
        <v>0.4431291282343006</v>
      </c>
      <c r="F137" s="6">
        <f t="shared" si="15"/>
        <v>69.60992907801416</v>
      </c>
      <c r="G137" s="6">
        <f t="shared" si="12"/>
        <v>16.919496638510598</v>
      </c>
      <c r="H137" s="65">
        <f t="shared" si="16"/>
        <v>85.70000000000005</v>
      </c>
      <c r="I137" s="65">
        <f t="shared" si="14"/>
        <v>963.9000000000001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86.85685175751404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8.6+0.2+0.3+5.1</f>
        <v>14.2</v>
      </c>
      <c r="E139" s="1">
        <f>D139/D137*100</f>
        <v>7.233825776872135</v>
      </c>
      <c r="F139" s="1">
        <f t="shared" si="17"/>
        <v>70.29702970297029</v>
      </c>
      <c r="G139" s="1">
        <f>D139/C139*100</f>
        <v>36.1323155216285</v>
      </c>
      <c r="H139" s="48">
        <f t="shared" si="16"/>
        <v>6</v>
      </c>
      <c r="I139" s="48">
        <f t="shared" si="14"/>
        <v>25.099999999999998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3612.8+1500</f>
        <v>5112.8</v>
      </c>
      <c r="C142" s="57">
        <f>16744+15000</f>
        <v>31744</v>
      </c>
      <c r="D142" s="80">
        <f>112.8+55.6+128.7+0.1+105.3+21.7+331.5+41.9+106.9+1197.5+64.4+33.5+768.6</f>
        <v>2968.5</v>
      </c>
      <c r="E142" s="17">
        <f>D142/D106*100</f>
        <v>6.701114707914018</v>
      </c>
      <c r="F142" s="107">
        <f t="shared" si="17"/>
        <v>58.060162728837426</v>
      </c>
      <c r="G142" s="6">
        <f t="shared" si="12"/>
        <v>9.351373487903226</v>
      </c>
      <c r="H142" s="65">
        <f t="shared" si="16"/>
        <v>2144.3</v>
      </c>
      <c r="I142" s="65">
        <f t="shared" si="14"/>
        <v>28775.5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4.727011688856983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</f>
        <v>568.7</v>
      </c>
      <c r="E145" s="17">
        <f>D145/D106*100</f>
        <v>1.2837877494999839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62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61.1626552532134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105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12.729973407737488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55069</v>
      </c>
      <c r="C148" s="81">
        <f>C43+C68+C71+C76+C78+C86+C101+C106+C99+C83+C97</f>
        <v>406683.8</v>
      </c>
      <c r="D148" s="57">
        <f>D43+D68+D71+D76+D78+D86+D101+D106+D99+D83+D97</f>
        <v>46370.900000000016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288528.00000000006</v>
      </c>
      <c r="C149" s="51">
        <f>C6+C18+C33+C43+C51+C58+C68+C71+C76+C78+C86+C89+C94+C101+C106+C99+C83+C97+C45</f>
        <v>1303271.6</v>
      </c>
      <c r="D149" s="51">
        <f>D6+D18+D33+D43+D51+D58+D68+D71+D76+D78+D86+D89+D94+D101+D106+D99+D83+D97+D45</f>
        <v>232837.30000000005</v>
      </c>
      <c r="E149" s="35">
        <v>100</v>
      </c>
      <c r="F149" s="3">
        <f>D149/B149*100</f>
        <v>80.69833776964455</v>
      </c>
      <c r="G149" s="3">
        <f aca="true" t="shared" si="18" ref="G149:G155">D149/C149*100</f>
        <v>17.865600692902387</v>
      </c>
      <c r="H149" s="51">
        <f aca="true" t="shared" si="19" ref="H149:H155">B149-D149</f>
        <v>55690.70000000001</v>
      </c>
      <c r="I149" s="51">
        <f aca="true" t="shared" si="20" ref="I149:I155">C149-D149</f>
        <v>1070434.3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140727.1</v>
      </c>
      <c r="C150" s="64">
        <f>C8+C20+C34+C52+C59+C90+C114+C118+C46+C138+C130+C102</f>
        <v>587184.8999999998</v>
      </c>
      <c r="D150" s="64">
        <f>D8+D20+D34+D52+D59+D90+D114+D118+D46+D138+D130+D102</f>
        <v>122668.19999999997</v>
      </c>
      <c r="E150" s="6">
        <f>D150/D149*100</f>
        <v>52.6840845517449</v>
      </c>
      <c r="F150" s="6">
        <f aca="true" t="shared" si="21" ref="F150:F161">D150/B150*100</f>
        <v>87.16743256984614</v>
      </c>
      <c r="G150" s="6">
        <f t="shared" si="18"/>
        <v>20.89089825027858</v>
      </c>
      <c r="H150" s="65">
        <f t="shared" si="19"/>
        <v>18058.900000000038</v>
      </c>
      <c r="I150" s="76">
        <f t="shared" si="20"/>
        <v>464516.69999999984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41440</v>
      </c>
      <c r="C151" s="65">
        <f>C11+C23+C36+C55+C61+C91+C49+C139+C108+C111+C95+C136</f>
        <v>114263.80000000002</v>
      </c>
      <c r="D151" s="65">
        <f>D11+D23+D36+D55+D61+D91+D49+D139+D108+D111+D95+D136</f>
        <v>28456.500000000004</v>
      </c>
      <c r="E151" s="6">
        <f>D151/D149*100</f>
        <v>12.221624284425218</v>
      </c>
      <c r="F151" s="6">
        <f t="shared" si="21"/>
        <v>68.66916023166024</v>
      </c>
      <c r="G151" s="6">
        <f t="shared" si="18"/>
        <v>24.904212882820282</v>
      </c>
      <c r="H151" s="65">
        <f t="shared" si="19"/>
        <v>12983.499999999996</v>
      </c>
      <c r="I151" s="76">
        <f t="shared" si="20"/>
        <v>85807.30000000002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6553.9000000000015</v>
      </c>
      <c r="E152" s="6">
        <f>D152/D149*100</f>
        <v>2.814798144455377</v>
      </c>
      <c r="F152" s="6">
        <f t="shared" si="21"/>
        <v>62.996462762889784</v>
      </c>
      <c r="G152" s="6">
        <f t="shared" si="18"/>
        <v>20.066870175717924</v>
      </c>
      <c r="H152" s="65">
        <f t="shared" si="19"/>
        <v>3849.699999999999</v>
      </c>
      <c r="I152" s="76">
        <f t="shared" si="20"/>
        <v>26106.4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6398.3</v>
      </c>
      <c r="C153" s="64">
        <f>C12+C24+C103+C62+C38+C92+C128</f>
        <v>29295.7</v>
      </c>
      <c r="D153" s="64">
        <f>D12+D24+D103+D62+D38+D92+D128</f>
        <v>5366.900000000001</v>
      </c>
      <c r="E153" s="6">
        <f>D153/D149*100</f>
        <v>2.305000100928846</v>
      </c>
      <c r="F153" s="6">
        <f t="shared" si="21"/>
        <v>83.8800931497429</v>
      </c>
      <c r="G153" s="6">
        <f t="shared" si="18"/>
        <v>18.319753410910135</v>
      </c>
      <c r="H153" s="65">
        <f t="shared" si="19"/>
        <v>1031.3999999999996</v>
      </c>
      <c r="I153" s="76">
        <f t="shared" si="20"/>
        <v>23928.8</v>
      </c>
      <c r="K153" s="43"/>
      <c r="L153" s="98"/>
    </row>
    <row r="154" spans="1:12" ht="18.75">
      <c r="A154" s="20" t="s">
        <v>2</v>
      </c>
      <c r="B154" s="64">
        <f>B9+B21+B47+B53+B121</f>
        <v>4717.8</v>
      </c>
      <c r="C154" s="64">
        <f>C9+C21+C47+C53+C121</f>
        <v>21053.1</v>
      </c>
      <c r="D154" s="64">
        <f>D9+D21+D47+D53+D121</f>
        <v>3786.9999999999995</v>
      </c>
      <c r="E154" s="6">
        <f>D154/D149*100</f>
        <v>1.626457616541679</v>
      </c>
      <c r="F154" s="6">
        <f t="shared" si="21"/>
        <v>80.27046504726778</v>
      </c>
      <c r="G154" s="6">
        <f t="shared" si="18"/>
        <v>17.98784977034261</v>
      </c>
      <c r="H154" s="65">
        <f t="shared" si="19"/>
        <v>930.8000000000006</v>
      </c>
      <c r="I154" s="76">
        <f t="shared" si="20"/>
        <v>17266.1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84841.20000000004</v>
      </c>
      <c r="C155" s="64">
        <f>C149-C150-C151-C152-C153-C154</f>
        <v>518813.8000000003</v>
      </c>
      <c r="D155" s="64">
        <f>D149-D150-D151-D152-D153-D154</f>
        <v>66004.80000000008</v>
      </c>
      <c r="E155" s="6">
        <f>D155/D149*100</f>
        <v>28.348035301903973</v>
      </c>
      <c r="F155" s="6">
        <f t="shared" si="21"/>
        <v>77.79805094694564</v>
      </c>
      <c r="G155" s="40">
        <f t="shared" si="18"/>
        <v>12.722252183731436</v>
      </c>
      <c r="H155" s="65">
        <f t="shared" si="19"/>
        <v>18836.399999999965</v>
      </c>
      <c r="I155" s="65">
        <f t="shared" si="20"/>
        <v>452809.00000000023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3910.6-188.4</f>
        <v>3722.2</v>
      </c>
      <c r="C157" s="70">
        <f>11264.2-188.4</f>
        <v>11075.800000000001</v>
      </c>
      <c r="D157" s="70">
        <f>33</f>
        <v>33</v>
      </c>
      <c r="E157" s="14"/>
      <c r="F157" s="6">
        <f t="shared" si="21"/>
        <v>0.8865724571489979</v>
      </c>
      <c r="G157" s="6">
        <f aca="true" t="shared" si="22" ref="G157:G166">D157/C157*100</f>
        <v>0.297946875169288</v>
      </c>
      <c r="H157" s="6">
        <f>B157-D157</f>
        <v>3689.2</v>
      </c>
      <c r="I157" s="6">
        <f aca="true" t="shared" si="23" ref="I157:I166">C157-D157</f>
        <v>11042.800000000001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58</v>
      </c>
      <c r="B159" s="85">
        <v>34623.5</v>
      </c>
      <c r="C159" s="64">
        <f>253351.6+55+5844.1+52645.5</f>
        <v>311896.2</v>
      </c>
      <c r="D159" s="64">
        <f>12.5+3344.4+45.2</f>
        <v>3402.1</v>
      </c>
      <c r="E159" s="6"/>
      <c r="F159" s="6">
        <f t="shared" si="21"/>
        <v>9.825985241237888</v>
      </c>
      <c r="G159" s="6">
        <f t="shared" si="22"/>
        <v>1.0907795606358783</v>
      </c>
      <c r="H159" s="6">
        <f t="shared" si="24"/>
        <v>31221.4</v>
      </c>
      <c r="I159" s="6">
        <f t="shared" si="23"/>
        <v>308494.10000000003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f>9501+4181.1</f>
        <v>13682.1</v>
      </c>
      <c r="D161" s="64">
        <f>49.9+127.8+39.6+53.8+398.2+8.4+32.5</f>
        <v>710.1999999999999</v>
      </c>
      <c r="E161" s="17"/>
      <c r="F161" s="6">
        <f t="shared" si="21"/>
        <v>35.40908411028568</v>
      </c>
      <c r="G161" s="6">
        <f t="shared" si="22"/>
        <v>5.190723646223898</v>
      </c>
      <c r="H161" s="6">
        <f t="shared" si="24"/>
        <v>1295.5</v>
      </c>
      <c r="I161" s="6">
        <f t="shared" si="23"/>
        <v>12971.9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329306.6000000001</v>
      </c>
      <c r="C166" s="87">
        <f>C149+C157+C161+C162+C158+C165+C164+C159+C163+C160</f>
        <v>1641618.7000000002</v>
      </c>
      <c r="D166" s="87">
        <f>D149+D157+D161+D162+D158+D165+D164+D159+D163+D160</f>
        <v>237377.00000000006</v>
      </c>
      <c r="E166" s="22"/>
      <c r="F166" s="3">
        <f>D166/B166*100</f>
        <v>72.08388778117414</v>
      </c>
      <c r="G166" s="3">
        <f t="shared" si="22"/>
        <v>14.459935184705195</v>
      </c>
      <c r="H166" s="3">
        <f>B166-D166</f>
        <v>91929.60000000003</v>
      </c>
      <c r="I166" s="3">
        <f t="shared" si="23"/>
        <v>1404241.7000000002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1303271.6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232837.30000000005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1303271.6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232837.30000000005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2016-03-17T10:01:21Z</cp:lastPrinted>
  <dcterms:created xsi:type="dcterms:W3CDTF">2000-06-20T04:48:00Z</dcterms:created>
  <dcterms:modified xsi:type="dcterms:W3CDTF">2016-03-25T06:06:36Z</dcterms:modified>
  <cp:category/>
  <cp:version/>
  <cp:contentType/>
  <cp:contentStatus/>
</cp:coreProperties>
</file>